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hildSupportServices\PolicyBranch\Subject Matter Folders\2500 Establishment\Guideline Calculator\QBID Calc\"/>
    </mc:Choice>
  </mc:AlternateContent>
  <xr:revisionPtr revIDLastSave="0" documentId="13_ncr:1_{FF662442-AD94-4768-9289-C154EB9FBB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definedNames>
    <definedName name="Applicable_Percentage">'[1]DO NOT EDIT!!'!$C$19</definedName>
    <definedName name="QBI">'[1]DO NOT EDIT!!'!$B$12</definedName>
    <definedName name="Qualified">'[1]DO NOT EDIT!!'!$B$17</definedName>
    <definedName name="Qualified_Business_Income">Sheet1!$E$7</definedName>
    <definedName name="TaxFiling">'[1]DO NOT EDIT!!'!$B$8</definedName>
    <definedName name="Total_Taxable_Income">'[1]QBI Calculator'!$D$8</definedName>
    <definedName name="TTI">'[1]DO NOT EDIT!!'!$B$13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D32" i="2" l="1"/>
  <c r="D33" i="2"/>
  <c r="D31" i="2"/>
  <c r="C30" i="2" l="1"/>
  <c r="L24" i="2"/>
  <c r="L26" i="2" s="1"/>
  <c r="L16" i="2"/>
  <c r="L19" i="2" s="1"/>
  <c r="L8" i="2"/>
  <c r="L10" i="2" s="1"/>
  <c r="L27" i="2" l="1"/>
  <c r="L17" i="2"/>
  <c r="L18" i="2"/>
  <c r="L9" i="2"/>
  <c r="L25" i="2"/>
  <c r="I24" i="2"/>
  <c r="I16" i="2"/>
  <c r="I8" i="2"/>
  <c r="C23" i="2"/>
  <c r="C21" i="2"/>
  <c r="C20" i="2"/>
  <c r="C13" i="2" l="1"/>
  <c r="L28" i="2"/>
  <c r="L29" i="2" s="1"/>
  <c r="L30" i="2" s="1"/>
  <c r="C26" i="2"/>
  <c r="I9" i="2" s="1"/>
  <c r="I11" i="2" s="1"/>
  <c r="I12" i="2" s="1"/>
  <c r="L20" i="2"/>
  <c r="L21" i="2" s="1"/>
  <c r="L22" i="2" s="1"/>
  <c r="I25" i="2" l="1"/>
  <c r="I27" i="2" s="1"/>
  <c r="I28" i="2" s="1"/>
  <c r="I17" i="2"/>
  <c r="I19" i="2" s="1"/>
  <c r="I20" i="2" s="1"/>
  <c r="B21" i="1"/>
  <c r="D12" i="1"/>
  <c r="D25" i="1" s="1"/>
  <c r="G27" i="1" l="1"/>
  <c r="B23" i="1"/>
  <c r="B25" i="1" s="1"/>
  <c r="G25" i="1"/>
  <c r="E9" i="2"/>
  <c r="D9" i="2"/>
  <c r="C9" i="2"/>
  <c r="A16" i="1"/>
  <c r="D35" i="2" l="1"/>
  <c r="D39" i="2"/>
  <c r="D40" i="2"/>
  <c r="D36" i="2"/>
  <c r="D41" i="2"/>
  <c r="D37" i="2"/>
  <c r="I32" i="2"/>
  <c r="L11" i="2"/>
  <c r="L12" i="2" s="1"/>
  <c r="L13" i="2" s="1"/>
  <c r="L14" i="2" s="1"/>
  <c r="I33" i="2" s="1"/>
  <c r="F16" i="1"/>
  <c r="C16" i="1"/>
  <c r="C34" i="2" l="1"/>
  <c r="C38" i="2"/>
  <c r="D27" i="1"/>
</calcChain>
</file>

<file path=xl/sharedStrings.xml><?xml version="1.0" encoding="utf-8"?>
<sst xmlns="http://schemas.openxmlformats.org/spreadsheetml/2006/main" count="94" uniqueCount="52">
  <si>
    <t>Qualified Business Income Deduction Calculator</t>
  </si>
  <si>
    <t>Tax Filing Status</t>
  </si>
  <si>
    <t>Qualified Business Income</t>
  </si>
  <si>
    <t>Total Taxable Income</t>
  </si>
  <si>
    <t>Net Capital Gain</t>
  </si>
  <si>
    <t>Overall Limitation Amount</t>
  </si>
  <si>
    <t>Per Year</t>
  </si>
  <si>
    <t>The Party's Income is Below the First Threshold</t>
  </si>
  <si>
    <t>Thresholds</t>
  </si>
  <si>
    <t>First Threshold</t>
  </si>
  <si>
    <t>MFJ</t>
  </si>
  <si>
    <t>MFS</t>
  </si>
  <si>
    <t>S/HH</t>
  </si>
  <si>
    <t>Second Threshold</t>
  </si>
  <si>
    <t>Combined QGI Amount</t>
  </si>
  <si>
    <t>The Party's QBI Deducation is:</t>
  </si>
  <si>
    <t>The Party's Income is Above the Second Threshold</t>
  </si>
  <si>
    <t>The Party's income is Between the First and Second Threshold</t>
  </si>
  <si>
    <t>Is this a qualified or Specified Business?</t>
  </si>
  <si>
    <t>Qualified</t>
  </si>
  <si>
    <t>Specified</t>
  </si>
  <si>
    <t>Party's Share of W-2 Wages</t>
  </si>
  <si>
    <t>Parties Share of Unadjusted Basis of Qualified Property</t>
  </si>
  <si>
    <t>Above Formulas</t>
  </si>
  <si>
    <t>Between w-2 wages</t>
  </si>
  <si>
    <t>Between UBQP</t>
  </si>
  <si>
    <t>Above W-2</t>
  </si>
  <si>
    <t>Above UBQP</t>
  </si>
  <si>
    <t>N/A</t>
  </si>
  <si>
    <t>Between Formula Parts</t>
  </si>
  <si>
    <t>Reduction Ratio</t>
  </si>
  <si>
    <t>TTI Excess</t>
  </si>
  <si>
    <t>Wage and Cap Limitation</t>
  </si>
  <si>
    <t>Applied Ratio</t>
  </si>
  <si>
    <t>QBI less Applied Ratio</t>
  </si>
  <si>
    <t>MFJ FORMULAS</t>
  </si>
  <si>
    <t>MFS FORMULAS</t>
  </si>
  <si>
    <t>S/HH FORMULAS</t>
  </si>
  <si>
    <t>Specified Ratio</t>
  </si>
  <si>
    <t>QBI Less Specified Ratio</t>
  </si>
  <si>
    <t>W-2 Wages Less Specifed</t>
  </si>
  <si>
    <t>UBiQP Less Specified</t>
  </si>
  <si>
    <t>Specifed</t>
  </si>
  <si>
    <t>Specified TTI Excess</t>
  </si>
  <si>
    <t>Includable QBI less Specified</t>
  </si>
  <si>
    <t>Deductible QBI</t>
  </si>
  <si>
    <t>ONLY EDIT THE BOXES IN GREEN BASED ON ADJUSTED THRESHOLDS</t>
  </si>
  <si>
    <t>Visuals</t>
  </si>
  <si>
    <t>First</t>
  </si>
  <si>
    <t>Middle</t>
  </si>
  <si>
    <t>Last</t>
  </si>
  <si>
    <t>Single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</si>
</sst>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164" fontId="0" fillId="3" borderId="9" xfId="0" applyNumberFormat="1" applyFill="1" applyBorder="1"/>
    <xf numFmtId="0" fontId="4" fillId="0" borderId="0" xfId="0" applyFont="1"/>
    <xf numFmtId="0" fontId="4" fillId="2" borderId="9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4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right" wrapText="1"/>
    </xf>
    <xf numFmtId="164" fontId="4" fillId="0" borderId="2" xfId="0" applyNumberFormat="1" applyFont="1" applyBorder="1"/>
    <xf numFmtId="0" fontId="4" fillId="0" borderId="3" xfId="0" applyFont="1" applyBorder="1" applyAlignment="1">
      <alignment horizontal="right" wrapText="1"/>
    </xf>
    <xf numFmtId="164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0" fontId="4" fillId="0" borderId="2" xfId="0" applyFont="1" applyBorder="1"/>
    <xf numFmtId="0" fontId="4" fillId="0" borderId="7" xfId="0" applyFont="1" applyBorder="1" applyAlignment="1">
      <alignment horizontal="right"/>
    </xf>
    <xf numFmtId="0" fontId="4" fillId="0" borderId="4" xfId="0" applyFont="1" applyBorder="1"/>
    <xf numFmtId="0" fontId="4" fillId="0" borderId="8" xfId="0" applyFont="1" applyBorder="1"/>
    <xf numFmtId="0" fontId="4" fillId="0" borderId="7" xfId="0" applyFont="1" applyBorder="1"/>
    <xf numFmtId="164" fontId="4" fillId="2" borderId="9" xfId="0" applyNumberFormat="1" applyFont="1" applyFill="1" applyBorder="1"/>
    <xf numFmtId="164" fontId="4" fillId="2" borderId="11" xfId="0" applyNumberFormat="1" applyFont="1" applyFill="1" applyBorder="1"/>
    <xf numFmtId="164" fontId="4" fillId="0" borderId="10" xfId="0" applyNumberFormat="1" applyFont="1" applyBorder="1"/>
    <xf numFmtId="164" fontId="0" fillId="0" borderId="9" xfId="0" applyNumberFormat="1" applyBorder="1"/>
    <xf numFmtId="164" fontId="4" fillId="0" borderId="0" xfId="0" applyNumberFormat="1" applyFont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ill>
        <patternFill patternType="lightTrellis">
          <bgColor auto="1"/>
        </patternFill>
      </fill>
    </dxf>
    <dxf>
      <fill>
        <patternFill patternType="darkTrellis"/>
      </fill>
    </dxf>
    <dxf>
      <fill>
        <patternFill patternType="darkTrellis"/>
      </fill>
    </dxf>
    <dxf>
      <fill>
        <patternFill patternType="darkTrellis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Sheet2!$C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Drop" dropLines="2" dropStyle="combo" dx="22" fmlaLink="Sheet2!$B$18" fmlaRange="Sheet2!$B$15:$B$16" noThreeD="1" sel="1" val="0"/>
</file>

<file path=xl/ctrlProps/ctrlProp5.xml><?xml version="1.0" encoding="utf-8"?>
<formControlPr xmlns="http://schemas.microsoft.com/office/spreadsheetml/2009/9/main" objectType="Drop" dropLines="2" dropStyle="combo" dx="22" fmlaLink="Sheet2!$B$18" fmlaRange="Sheet2!$B$15:$B$16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</xdr:row>
          <xdr:rowOff>171450</xdr:rowOff>
        </xdr:from>
        <xdr:to>
          <xdr:col>5</xdr:col>
          <xdr:colOff>190500</xdr:colOff>
          <xdr:row>3</xdr:row>
          <xdr:rowOff>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Single/Head of Household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</xdr:row>
          <xdr:rowOff>171450</xdr:rowOff>
        </xdr:from>
        <xdr:to>
          <xdr:col>5</xdr:col>
          <xdr:colOff>66675</xdr:colOff>
          <xdr:row>4</xdr:row>
          <xdr:rowOff>9525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Married Filing Jointly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</xdr:row>
          <xdr:rowOff>152400</xdr:rowOff>
        </xdr:from>
        <xdr:to>
          <xdr:col>5</xdr:col>
          <xdr:colOff>180975</xdr:colOff>
          <xdr:row>5</xdr:row>
          <xdr:rowOff>9525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Married Filing Separately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18</xdr:row>
          <xdr:rowOff>9525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18</xdr:row>
          <xdr:rowOff>9525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untyofventuraca.sharepoint.com/sites/VCDCSS/ecourt/Notebooks/Notebook%20Jim/QBI/QBI%20Deduction%20Calculator%202.0%20(1.10.2020)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BI Calculator"/>
      <sheetName val="DO NOT EDIT!!"/>
    </sheetNames>
    <sheetDataSet>
      <sheetData sheetId="0">
        <row r="8">
          <cell r="D8">
            <v>328572</v>
          </cell>
        </row>
      </sheetData>
      <sheetData sheetId="1">
        <row r="8">
          <cell r="B8">
            <v>1</v>
          </cell>
        </row>
        <row r="12">
          <cell r="B12">
            <v>2</v>
          </cell>
        </row>
        <row r="13">
          <cell r="B13">
            <v>2</v>
          </cell>
        </row>
        <row r="17">
          <cell r="B17">
            <v>1</v>
          </cell>
        </row>
        <row r="19">
          <cell r="C19">
            <v>0.86427999999999994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1"/>
  <sheetViews>
    <sheetView tabSelected="1" topLeftCell="A5" zoomScale="85" zoomScaleNormal="85" workbookViewId="0">
      <selection activeCell="D10" sqref="D10:E10"/>
    </sheetView>
  </sheetViews>
  <sheetFormatPr defaultColWidth="9.140625" defaultRowHeight="15" x14ac:dyDescent="0.2"/>
  <cols>
    <col min="1" max="1" width="25.42578125" style="7" customWidth="1"/>
    <col min="2" max="2" width="19.85546875" style="7" customWidth="1"/>
    <col min="3" max="3" width="37.42578125" style="7" customWidth="1"/>
    <col min="4" max="4" width="9" style="7" customWidth="1"/>
    <col min="5" max="5" width="10.85546875" style="7" customWidth="1"/>
    <col min="6" max="6" width="28.5703125" style="7" customWidth="1"/>
    <col min="7" max="7" width="9.140625" style="7" customWidth="1"/>
    <col min="8" max="8" width="10.85546875" style="7" customWidth="1"/>
    <col min="9" max="9" width="9.140625" style="7" customWidth="1"/>
    <col min="10" max="16384" width="9.140625" style="7"/>
  </cols>
  <sheetData>
    <row r="1" spans="1:8" x14ac:dyDescent="0.2">
      <c r="A1" s="7" t="s">
        <v>0</v>
      </c>
    </row>
    <row r="3" spans="1:8" x14ac:dyDescent="0.2">
      <c r="C3" s="8" t="s">
        <v>1</v>
      </c>
    </row>
    <row r="4" spans="1:8" x14ac:dyDescent="0.2">
      <c r="C4" s="9"/>
    </row>
    <row r="5" spans="1:8" x14ac:dyDescent="0.2">
      <c r="C5" s="9"/>
    </row>
    <row r="6" spans="1:8" x14ac:dyDescent="0.2">
      <c r="C6" s="9"/>
    </row>
    <row r="7" spans="1:8" x14ac:dyDescent="0.2">
      <c r="C7" s="9"/>
    </row>
    <row r="8" spans="1:8" ht="15.75" customHeight="1" x14ac:dyDescent="0.2">
      <c r="C8" s="30" t="s">
        <v>2</v>
      </c>
      <c r="D8" s="34">
        <v>0</v>
      </c>
      <c r="E8" s="34"/>
      <c r="F8" s="31" t="s">
        <v>6</v>
      </c>
    </row>
    <row r="9" spans="1:8" ht="15.75" customHeight="1" x14ac:dyDescent="0.2">
      <c r="C9" s="29" t="s">
        <v>3</v>
      </c>
      <c r="D9" s="34">
        <v>0</v>
      </c>
      <c r="E9" s="34"/>
      <c r="F9" s="31" t="s">
        <v>6</v>
      </c>
    </row>
    <row r="10" spans="1:8" ht="15.75" customHeight="1" x14ac:dyDescent="0.2">
      <c r="C10" s="29" t="s">
        <v>4</v>
      </c>
      <c r="D10" s="34">
        <v>0</v>
      </c>
      <c r="E10" s="34"/>
      <c r="F10" s="31" t="s">
        <v>6</v>
      </c>
    </row>
    <row r="11" spans="1:8" x14ac:dyDescent="0.2">
      <c r="C11" s="10"/>
      <c r="D11" s="10"/>
      <c r="E11" s="10"/>
    </row>
    <row r="12" spans="1:8" x14ac:dyDescent="0.2">
      <c r="C12" s="10" t="s">
        <v>5</v>
      </c>
      <c r="D12" s="33">
        <f>(D9-D10)*0.2</f>
        <v>0</v>
      </c>
      <c r="E12" s="33"/>
    </row>
    <row r="13" spans="1:8" ht="15.75" thickBot="1" x14ac:dyDescent="0.25">
      <c r="A13" s="11"/>
      <c r="B13" s="11"/>
    </row>
    <row r="14" spans="1:8" ht="19.5" customHeight="1" x14ac:dyDescent="0.2">
      <c r="A14" s="41" t="s">
        <v>7</v>
      </c>
      <c r="B14" s="42"/>
      <c r="C14" s="45" t="s">
        <v>17</v>
      </c>
      <c r="D14" s="46"/>
      <c r="E14" s="47"/>
      <c r="F14" s="35" t="s">
        <v>16</v>
      </c>
      <c r="G14" s="36"/>
      <c r="H14" s="37"/>
    </row>
    <row r="15" spans="1:8" ht="19.5" customHeight="1" thickBot="1" x14ac:dyDescent="0.25">
      <c r="A15" s="43"/>
      <c r="B15" s="44"/>
      <c r="C15" s="48"/>
      <c r="D15" s="49"/>
      <c r="E15" s="50"/>
      <c r="F15" s="38"/>
      <c r="G15" s="39"/>
      <c r="H15" s="40"/>
    </row>
    <row r="16" spans="1:8" x14ac:dyDescent="0.2">
      <c r="A16" s="61" t="str">
        <f>IF(Sheet2!C2=1, CONCATENATE("Taxable Income is less than $", Sheet2!E8), IF(Sheet2!C2=2, CONCATENATE("Taxable Income is less than $", Sheet2!C8), CONCATENATE("Taxable Income is less than $", Sheet2!D8)))</f>
        <v>Taxable Income is less than $197300</v>
      </c>
      <c r="B16" s="53"/>
      <c r="C16" s="62" t="str">
        <f>IF(Sheet2!C2=1, CONCATENATE("Taxable Income is between $", Sheet2!E8, " and $",Sheet2!E9), IF(Sheet2!C2=2, CONCATENATE("Taxable Income is between $", Sheet2!C8, " and $", Sheet2!C9), CONCATENATE("Taxable Income is between  $", Sheet2!D8, " and $", Sheet2!D9)))</f>
        <v>Taxable Income is between $197300 and $247300</v>
      </c>
      <c r="D16" s="63"/>
      <c r="E16" s="64"/>
      <c r="F16" s="61" t="str">
        <f>IF(Sheet2!C2=1, CONCATENATE("Taxable Income is more than $", Sheet2!E9), IF(Sheet2!C2=2, CONCATENATE("Taxable Income is more than $", Sheet2!C9), CONCATENATE("Taxable Income is more than $", Sheet2!D9)))</f>
        <v>Taxable Income is more than $247300</v>
      </c>
      <c r="G16" s="53"/>
      <c r="H16" s="54"/>
    </row>
    <row r="17" spans="1:8" ht="15.75" customHeight="1" x14ac:dyDescent="0.2">
      <c r="A17" s="61"/>
      <c r="B17" s="53"/>
      <c r="C17" s="62"/>
      <c r="D17" s="63"/>
      <c r="E17" s="64"/>
      <c r="F17" s="61"/>
      <c r="G17" s="53"/>
      <c r="H17" s="54"/>
    </row>
    <row r="18" spans="1:8" ht="15.75" customHeight="1" x14ac:dyDescent="0.2">
      <c r="A18" s="12"/>
      <c r="B18" s="13"/>
      <c r="C18" s="15"/>
      <c r="D18" s="16"/>
      <c r="E18" s="17"/>
      <c r="F18" s="12"/>
      <c r="G18" s="13"/>
      <c r="H18" s="14"/>
    </row>
    <row r="19" spans="1:8" ht="36" customHeight="1" x14ac:dyDescent="0.2">
      <c r="A19" s="12"/>
      <c r="B19" s="13"/>
      <c r="C19" s="15" t="s">
        <v>18</v>
      </c>
      <c r="D19" s="51"/>
      <c r="E19" s="52"/>
      <c r="F19" s="12"/>
      <c r="G19" s="53"/>
      <c r="H19" s="54"/>
    </row>
    <row r="20" spans="1:8" ht="15.75" customHeight="1" x14ac:dyDescent="0.2">
      <c r="A20" s="12"/>
      <c r="B20" s="13"/>
      <c r="C20" s="15"/>
      <c r="D20" s="16"/>
      <c r="E20" s="17"/>
      <c r="F20" s="12"/>
      <c r="G20" s="13"/>
      <c r="H20" s="14"/>
    </row>
    <row r="21" spans="1:8" ht="30" x14ac:dyDescent="0.2">
      <c r="A21" s="18" t="s">
        <v>14</v>
      </c>
      <c r="B21" s="11">
        <f>D8*0.2</f>
        <v>0</v>
      </c>
      <c r="C21" s="20" t="s">
        <v>21</v>
      </c>
      <c r="D21" s="57">
        <v>0</v>
      </c>
      <c r="E21" s="58"/>
      <c r="F21" s="20" t="s">
        <v>21</v>
      </c>
      <c r="G21" s="65">
        <v>0</v>
      </c>
      <c r="H21" s="66"/>
    </row>
    <row r="22" spans="1:8" x14ac:dyDescent="0.2">
      <c r="A22" s="21"/>
      <c r="B22" s="11"/>
      <c r="C22" s="22"/>
      <c r="D22" s="11"/>
      <c r="E22" s="19"/>
      <c r="F22" s="23"/>
      <c r="H22" s="24"/>
    </row>
    <row r="23" spans="1:8" ht="45" x14ac:dyDescent="0.2">
      <c r="A23" s="18" t="s">
        <v>5</v>
      </c>
      <c r="B23" s="11">
        <f>D12</f>
        <v>0</v>
      </c>
      <c r="C23" s="20" t="s">
        <v>22</v>
      </c>
      <c r="D23" s="57">
        <v>0</v>
      </c>
      <c r="E23" s="58"/>
      <c r="F23" s="20" t="s">
        <v>22</v>
      </c>
      <c r="G23" s="65">
        <v>0</v>
      </c>
      <c r="H23" s="66"/>
    </row>
    <row r="24" spans="1:8" x14ac:dyDescent="0.2">
      <c r="A24" s="22"/>
      <c r="C24" s="23"/>
      <c r="E24" s="24"/>
      <c r="F24" s="23"/>
      <c r="H24" s="24"/>
    </row>
    <row r="25" spans="1:8" ht="30" x14ac:dyDescent="0.2">
      <c r="A25" s="20" t="s">
        <v>15</v>
      </c>
      <c r="B25" s="11">
        <f>MIN(B23,D12)</f>
        <v>0</v>
      </c>
      <c r="C25" s="18" t="s">
        <v>5</v>
      </c>
      <c r="D25" s="57">
        <f>D12</f>
        <v>0</v>
      </c>
      <c r="E25" s="58"/>
      <c r="F25" s="18" t="s">
        <v>5</v>
      </c>
      <c r="G25" s="57">
        <f>D12</f>
        <v>0</v>
      </c>
      <c r="H25" s="58"/>
    </row>
    <row r="26" spans="1:8" x14ac:dyDescent="0.2">
      <c r="A26" s="20"/>
      <c r="B26" s="11"/>
      <c r="C26" s="22"/>
      <c r="E26" s="24"/>
      <c r="F26" s="22"/>
      <c r="H26" s="24"/>
    </row>
    <row r="27" spans="1:8" ht="30" x14ac:dyDescent="0.2">
      <c r="A27" s="20"/>
      <c r="B27" s="11"/>
      <c r="C27" s="20" t="s">
        <v>15</v>
      </c>
      <c r="D27" s="55">
        <f>MIN(D25,IF(Sheet2!B18=1,Sheet2!I32,Sheet2!I33))</f>
        <v>0</v>
      </c>
      <c r="E27" s="56"/>
      <c r="F27" s="20" t="s">
        <v>15</v>
      </c>
      <c r="G27" s="59">
        <f>IF(Sheet2!B18=1, MIN(D12,Sheet2!C13), "No Deduction Allowed")</f>
        <v>0</v>
      </c>
      <c r="H27" s="60"/>
    </row>
    <row r="28" spans="1:8" x14ac:dyDescent="0.2">
      <c r="A28" s="20"/>
      <c r="B28" s="11"/>
      <c r="C28" s="23"/>
      <c r="E28" s="24"/>
      <c r="F28" s="23"/>
      <c r="H28" s="24"/>
    </row>
    <row r="29" spans="1:8" x14ac:dyDescent="0.2">
      <c r="A29" s="20"/>
      <c r="B29" s="11"/>
      <c r="C29" s="23"/>
      <c r="E29" s="24"/>
      <c r="F29" s="23"/>
      <c r="H29" s="24"/>
    </row>
    <row r="30" spans="1:8" x14ac:dyDescent="0.2">
      <c r="A30" s="20"/>
      <c r="B30" s="11"/>
      <c r="C30" s="23"/>
      <c r="E30" s="24"/>
      <c r="F30" s="23"/>
      <c r="H30" s="24"/>
    </row>
    <row r="31" spans="1:8" ht="15.75" thickBot="1" x14ac:dyDescent="0.25">
      <c r="A31" s="25"/>
      <c r="B31" s="26"/>
      <c r="C31" s="28"/>
      <c r="D31" s="26"/>
      <c r="E31" s="27"/>
      <c r="F31" s="28"/>
      <c r="G31" s="26"/>
      <c r="H31" s="27"/>
    </row>
  </sheetData>
  <mergeCells count="20">
    <mergeCell ref="A14:B15"/>
    <mergeCell ref="C14:E15"/>
    <mergeCell ref="D19:E19"/>
    <mergeCell ref="G19:H19"/>
    <mergeCell ref="D27:E27"/>
    <mergeCell ref="G25:H25"/>
    <mergeCell ref="G27:H27"/>
    <mergeCell ref="A16:B17"/>
    <mergeCell ref="C16:E17"/>
    <mergeCell ref="F16:H17"/>
    <mergeCell ref="D21:E21"/>
    <mergeCell ref="D23:E23"/>
    <mergeCell ref="G21:H21"/>
    <mergeCell ref="G23:H23"/>
    <mergeCell ref="D25:E25"/>
    <mergeCell ref="D12:E12"/>
    <mergeCell ref="D8:E8"/>
    <mergeCell ref="D9:E9"/>
    <mergeCell ref="D10:E10"/>
    <mergeCell ref="F14:H15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</xdr:col>
                    <xdr:colOff>57150</xdr:colOff>
                    <xdr:row>1</xdr:row>
                    <xdr:rowOff>171450</xdr:rowOff>
                  </from>
                  <to>
                    <xdr:col>5</xdr:col>
                    <xdr:colOff>190500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</xdr:col>
                    <xdr:colOff>66675</xdr:colOff>
                    <xdr:row>2</xdr:row>
                    <xdr:rowOff>171450</xdr:rowOff>
                  </from>
                  <to>
                    <xdr:col>5</xdr:col>
                    <xdr:colOff>66675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 moveWithCells="1">
                  <from>
                    <xdr:col>3</xdr:col>
                    <xdr:colOff>66675</xdr:colOff>
                    <xdr:row>3</xdr:row>
                    <xdr:rowOff>152400</xdr:rowOff>
                  </from>
                  <to>
                    <xdr:col>5</xdr:col>
                    <xdr:colOff>180975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Drop Down 16">
              <controlPr defaultSize="0" autoLine="0" autoPict="0">
                <anchor moveWithCells="1">
                  <from>
                    <xdr:col>3</xdr:col>
                    <xdr:colOff>9525</xdr:colOff>
                    <xdr:row>18</xdr:row>
                    <xdr:rowOff>9525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Drop Down 17">
              <controlPr defaultSize="0" autoLine="0" autoPict="0">
                <anchor moveWithCells="1">
                  <from>
                    <xdr:col>6</xdr:col>
                    <xdr:colOff>9525</xdr:colOff>
                    <xdr:row>18</xdr:row>
                    <xdr:rowOff>9525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8F3C27C-ABE2-4201-9037-962FE5E0C554}">
            <xm:f>Sheet2!$C$30=0</xm:f>
            <x14:dxf>
              <fill>
                <patternFill patternType="darkTrellis"/>
              </fill>
            </x14:dxf>
          </x14:cfRule>
          <xm:sqref>A14:B31</xm:sqref>
        </x14:conditionalFormatting>
        <x14:conditionalFormatting xmlns:xm="http://schemas.microsoft.com/office/excel/2006/main">
          <x14:cfRule type="expression" priority="4" id="{B3614679-6AD1-44AA-94C0-174E59375A63}">
            <xm:f>Sheet2!$C$34=0</xm:f>
            <x14:dxf>
              <fill>
                <patternFill patternType="darkTrellis"/>
              </fill>
            </x14:dxf>
          </x14:cfRule>
          <xm:sqref>C14:E31</xm:sqref>
        </x14:conditionalFormatting>
        <x14:conditionalFormatting xmlns:xm="http://schemas.microsoft.com/office/excel/2006/main">
          <x14:cfRule type="expression" priority="1" id="{FA5DA362-6D45-4EE4-B557-8C7FB9F58D0A}">
            <xm:f>Sheet2!$C$38=0</xm:f>
            <x14:dxf>
              <fill>
                <patternFill patternType="darkTrellis"/>
              </fill>
            </x14:dxf>
          </x14:cfRule>
          <xm:sqref>F14:H31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1"/>
  <sheetViews>
    <sheetView topLeftCell="A6" workbookViewId="0">
      <selection activeCell="C25" sqref="C25"/>
    </sheetView>
  </sheetViews>
  <sheetFormatPr defaultRowHeight="15" x14ac:dyDescent="0.25"/>
  <cols>
    <col min="2" max="2" width="19.7109375" customWidth="1"/>
    <col min="3" max="3" width="13" customWidth="1"/>
    <col min="4" max="4" width="14.42578125" customWidth="1"/>
    <col min="5" max="5" width="14.7109375" customWidth="1"/>
    <col min="6" max="6" width="1.85546875" customWidth="1"/>
    <col min="7" max="7" width="2" customWidth="1"/>
    <col min="8" max="8" width="22.5703125" customWidth="1"/>
    <col min="10" max="10" width="2.85546875" customWidth="1"/>
    <col min="11" max="11" width="25.42578125" customWidth="1"/>
    <col min="12" max="12" width="10.5703125" style="3" bestFit="1" customWidth="1"/>
  </cols>
  <sheetData>
    <row r="1" spans="2:12" ht="51.75" customHeight="1" x14ac:dyDescent="0.25">
      <c r="B1" s="67" t="s">
        <v>46</v>
      </c>
      <c r="C1" s="67"/>
      <c r="D1" s="67"/>
      <c r="E1" s="67"/>
      <c r="F1" s="67"/>
      <c r="G1" s="67"/>
      <c r="H1" s="67"/>
      <c r="I1" s="67"/>
      <c r="J1" s="67"/>
      <c r="K1" s="67"/>
    </row>
    <row r="2" spans="2:12" x14ac:dyDescent="0.25">
      <c r="B2" t="s">
        <v>1</v>
      </c>
      <c r="C2">
        <v>1</v>
      </c>
    </row>
    <row r="3" spans="2:12" x14ac:dyDescent="0.25">
      <c r="H3" t="s">
        <v>29</v>
      </c>
    </row>
    <row r="5" spans="2:12" x14ac:dyDescent="0.25">
      <c r="B5" t="s">
        <v>8</v>
      </c>
    </row>
    <row r="7" spans="2:12" x14ac:dyDescent="0.25">
      <c r="C7" t="s">
        <v>10</v>
      </c>
      <c r="D7" t="s">
        <v>11</v>
      </c>
      <c r="E7" t="s">
        <v>12</v>
      </c>
      <c r="H7" s="2" t="s">
        <v>35</v>
      </c>
    </row>
    <row r="8" spans="2:12" x14ac:dyDescent="0.25">
      <c r="B8" t="s">
        <v>9</v>
      </c>
      <c r="C8" s="6">
        <v>394600</v>
      </c>
      <c r="D8" s="6">
        <v>197300</v>
      </c>
      <c r="E8" s="6">
        <v>197300</v>
      </c>
      <c r="H8" t="s">
        <v>30</v>
      </c>
      <c r="I8">
        <f>(Sheet1!D9-C8)/100000</f>
        <v>-3.9460000000000002</v>
      </c>
      <c r="K8" s="4" t="s">
        <v>38</v>
      </c>
      <c r="L8" s="3">
        <f>1-((Sheet1!D9-C8)/100000)</f>
        <v>4.9459999999999997</v>
      </c>
    </row>
    <row r="9" spans="2:12" x14ac:dyDescent="0.25">
      <c r="B9" t="s">
        <v>13</v>
      </c>
      <c r="C9" s="32">
        <f>C8+100000</f>
        <v>494600</v>
      </c>
      <c r="D9" s="32">
        <f>D8+50000</f>
        <v>247300</v>
      </c>
      <c r="E9" s="32">
        <f>E8+50000</f>
        <v>247300</v>
      </c>
      <c r="H9" t="s">
        <v>31</v>
      </c>
      <c r="I9">
        <f>MAX((Sheet1!D8*0.2)-C26,0)</f>
        <v>0</v>
      </c>
      <c r="K9" s="4" t="s">
        <v>39</v>
      </c>
      <c r="L9" s="3">
        <f>Sheet1!D8*L8</f>
        <v>0</v>
      </c>
    </row>
    <row r="10" spans="2:12" x14ac:dyDescent="0.25">
      <c r="K10" s="4" t="s">
        <v>40</v>
      </c>
      <c r="L10" s="3">
        <f>Sheet1!D21*L8</f>
        <v>0</v>
      </c>
    </row>
    <row r="11" spans="2:12" x14ac:dyDescent="0.25">
      <c r="H11" t="s">
        <v>33</v>
      </c>
      <c r="I11">
        <f>I8*I9</f>
        <v>0</v>
      </c>
      <c r="K11" s="4" t="s">
        <v>41</v>
      </c>
      <c r="L11" s="3">
        <f>Sheet1!D25*L8</f>
        <v>0</v>
      </c>
    </row>
    <row r="12" spans="2:12" x14ac:dyDescent="0.25">
      <c r="H12" t="s">
        <v>34</v>
      </c>
      <c r="I12">
        <f>(Sheet1!D8*0.2)-I11</f>
        <v>0</v>
      </c>
      <c r="K12" s="5" t="s">
        <v>43</v>
      </c>
      <c r="L12" s="3">
        <f>MIN(L9*0.2, MAX(L10*0.5, (L10*0.25+L11*0.025)))</f>
        <v>0</v>
      </c>
    </row>
    <row r="13" spans="2:12" x14ac:dyDescent="0.25">
      <c r="B13" t="s">
        <v>23</v>
      </c>
      <c r="C13">
        <f>MIN(Sheet1!D8*0.2,(MAX(C23*0.5,(C23*0.25)+(0.025*C24))))</f>
        <v>0</v>
      </c>
      <c r="D13" t="s">
        <v>28</v>
      </c>
      <c r="E13" t="s">
        <v>28</v>
      </c>
      <c r="K13" s="4" t="s">
        <v>44</v>
      </c>
      <c r="L13" s="3">
        <f>(L9*0.2)-L12</f>
        <v>0</v>
      </c>
    </row>
    <row r="14" spans="2:12" x14ac:dyDescent="0.25">
      <c r="K14" s="4" t="s">
        <v>45</v>
      </c>
      <c r="L14" s="3">
        <f>(L9*0.2)-(I8*L13)</f>
        <v>0</v>
      </c>
    </row>
    <row r="15" spans="2:12" x14ac:dyDescent="0.25">
      <c r="B15" t="s">
        <v>19</v>
      </c>
      <c r="H15" s="2" t="s">
        <v>36</v>
      </c>
    </row>
    <row r="16" spans="2:12" x14ac:dyDescent="0.25">
      <c r="B16" t="s">
        <v>20</v>
      </c>
      <c r="H16" t="s">
        <v>30</v>
      </c>
      <c r="I16">
        <f>(Sheet1!D9-D8)/50000</f>
        <v>-3.9460000000000002</v>
      </c>
      <c r="K16" s="4" t="s">
        <v>38</v>
      </c>
      <c r="L16" s="3">
        <f>(Sheet1!D9-D8)/50000</f>
        <v>-3.9460000000000002</v>
      </c>
    </row>
    <row r="17" spans="2:12" x14ac:dyDescent="0.25">
      <c r="H17" t="s">
        <v>31</v>
      </c>
      <c r="I17">
        <f>MAX((Sheet1!D8*0.2)-C26,0)</f>
        <v>0</v>
      </c>
      <c r="K17" s="4" t="s">
        <v>39</v>
      </c>
      <c r="L17" s="3">
        <f>Sheet1!D8*L16</f>
        <v>0</v>
      </c>
    </row>
    <row r="18" spans="2:12" x14ac:dyDescent="0.25">
      <c r="B18">
        <v>1</v>
      </c>
      <c r="K18" s="4" t="s">
        <v>40</v>
      </c>
      <c r="L18" s="3">
        <f>Sheet1!D21*L16</f>
        <v>0</v>
      </c>
    </row>
    <row r="19" spans="2:12" x14ac:dyDescent="0.25">
      <c r="H19" t="s">
        <v>33</v>
      </c>
      <c r="I19">
        <f>I16*I17</f>
        <v>0</v>
      </c>
      <c r="K19" s="4" t="s">
        <v>41</v>
      </c>
      <c r="L19" s="3">
        <f>Sheet1!D23*L16</f>
        <v>0</v>
      </c>
    </row>
    <row r="20" spans="2:12" x14ac:dyDescent="0.25">
      <c r="B20" t="s">
        <v>24</v>
      </c>
      <c r="C20">
        <f>Sheet1!D21</f>
        <v>0</v>
      </c>
      <c r="H20" t="s">
        <v>34</v>
      </c>
      <c r="I20">
        <f>(Sheet1!D8*0.2)-I19</f>
        <v>0</v>
      </c>
      <c r="K20" s="5" t="s">
        <v>43</v>
      </c>
      <c r="L20" s="3">
        <f>MIN(L17*0.2, MAX(L18*0.5, (L18*0.25+L19*0.025)))</f>
        <v>0</v>
      </c>
    </row>
    <row r="21" spans="2:12" x14ac:dyDescent="0.25">
      <c r="B21" t="s">
        <v>25</v>
      </c>
      <c r="C21">
        <f>Sheet1!D23</f>
        <v>0</v>
      </c>
      <c r="K21" s="4" t="s">
        <v>44</v>
      </c>
      <c r="L21" s="3">
        <f>(L17*0.2)-L20</f>
        <v>0</v>
      </c>
    </row>
    <row r="22" spans="2:12" x14ac:dyDescent="0.25">
      <c r="K22" s="4" t="s">
        <v>45</v>
      </c>
      <c r="L22" s="3">
        <f>(L17*0.2)-(I16*L21)</f>
        <v>0</v>
      </c>
    </row>
    <row r="23" spans="2:12" x14ac:dyDescent="0.25">
      <c r="B23" t="s">
        <v>26</v>
      </c>
      <c r="C23">
        <f>Sheet1!G21</f>
        <v>0</v>
      </c>
      <c r="H23" s="2" t="s">
        <v>37</v>
      </c>
    </row>
    <row r="24" spans="2:12" x14ac:dyDescent="0.25">
      <c r="B24" t="s">
        <v>27</v>
      </c>
      <c r="C24">
        <f>Sheet1!G23</f>
        <v>0</v>
      </c>
      <c r="H24" t="s">
        <v>30</v>
      </c>
      <c r="I24">
        <f>(Sheet1!D9-E8)/50000</f>
        <v>-3.9460000000000002</v>
      </c>
      <c r="K24" s="4" t="s">
        <v>38</v>
      </c>
      <c r="L24" s="3">
        <f>(Sheet1!D9-E8)/50000</f>
        <v>-3.9460000000000002</v>
      </c>
    </row>
    <row r="25" spans="2:12" x14ac:dyDescent="0.25">
      <c r="H25" t="s">
        <v>31</v>
      </c>
      <c r="I25">
        <f>MAX((Sheet1!D8*0.2)-C26, 0)</f>
        <v>0</v>
      </c>
      <c r="K25" s="4" t="s">
        <v>39</v>
      </c>
      <c r="L25" s="3">
        <f>Sheet1!D8*L24</f>
        <v>0</v>
      </c>
    </row>
    <row r="26" spans="2:12" ht="30" x14ac:dyDescent="0.25">
      <c r="B26" s="1" t="s">
        <v>32</v>
      </c>
      <c r="C26">
        <f>MAX(0.5*C20, (0.25*C20)+(0.025*C21))</f>
        <v>0</v>
      </c>
      <c r="K26" s="4" t="s">
        <v>40</v>
      </c>
      <c r="L26" s="3">
        <f>Sheet1!D21*L24</f>
        <v>0</v>
      </c>
    </row>
    <row r="27" spans="2:12" x14ac:dyDescent="0.25">
      <c r="H27" t="s">
        <v>33</v>
      </c>
      <c r="I27">
        <f>I24*I25</f>
        <v>0</v>
      </c>
      <c r="K27" s="4" t="s">
        <v>41</v>
      </c>
      <c r="L27" s="3">
        <f>Sheet1!D23*L24</f>
        <v>0</v>
      </c>
    </row>
    <row r="28" spans="2:12" x14ac:dyDescent="0.25">
      <c r="H28" t="s">
        <v>34</v>
      </c>
      <c r="I28">
        <f>(Sheet1!D8*0.2)-I27</f>
        <v>0</v>
      </c>
      <c r="K28" s="5" t="s">
        <v>43</v>
      </c>
      <c r="L28" s="3">
        <f>MIN(L25*0.2, MAX(L26*0.5, (L26*0.25+L27*0.025)))</f>
        <v>0</v>
      </c>
    </row>
    <row r="29" spans="2:12" x14ac:dyDescent="0.25">
      <c r="B29" t="s">
        <v>47</v>
      </c>
      <c r="K29" s="4" t="s">
        <v>44</v>
      </c>
      <c r="L29" s="3">
        <f>(L25*0.2)-L28</f>
        <v>0</v>
      </c>
    </row>
    <row r="30" spans="2:12" x14ac:dyDescent="0.25">
      <c r="B30" t="s">
        <v>48</v>
      </c>
      <c r="C30">
        <f>IF(C2=1, D31, IF(C2=2,D32, IF(C2=3, D33, "Error")))</f>
        <v>1</v>
      </c>
      <c r="K30" s="4" t="s">
        <v>45</v>
      </c>
      <c r="L30" s="3">
        <f>(L25*0.2)-(I24*L29)</f>
        <v>0</v>
      </c>
    </row>
    <row r="31" spans="2:12" x14ac:dyDescent="0.25">
      <c r="C31" t="s">
        <v>51</v>
      </c>
      <c r="D31">
        <f>IF(Sheet1!D9&lt;(E8+0.001), 1, 0)</f>
        <v>1</v>
      </c>
    </row>
    <row r="32" spans="2:12" x14ac:dyDescent="0.25">
      <c r="C32" t="s">
        <v>11</v>
      </c>
      <c r="D32">
        <f>IF(Sheet1!D9&lt;(C8+0.001), 1, 0)</f>
        <v>1</v>
      </c>
      <c r="H32" t="s">
        <v>19</v>
      </c>
      <c r="I32">
        <f>IF(Sheet2!C2=1,MIN(Sheet1!D25,Sheet2!I28),IF(Sheet2!C2=2,MIN(Sheet1!D25,Sheet2!I12),MIN(Sheet1!D25,Sheet2!I20)))</f>
        <v>0</v>
      </c>
    </row>
    <row r="33" spans="2:9" x14ac:dyDescent="0.25">
      <c r="C33" t="s">
        <v>10</v>
      </c>
      <c r="D33">
        <f>IF(Sheet1!D9&lt;(D8+0.001), 1, 0)</f>
        <v>1</v>
      </c>
      <c r="H33" t="s">
        <v>42</v>
      </c>
      <c r="I33">
        <f>IF(Sheet2!C2=1,MIN(Sheet1!D25,Sheet2!L30),IF(Sheet2!C2=2,MIN(Sheet1!D25,Sheet2!L14),MIN(Sheet1!D25,Sheet2!L22)))</f>
        <v>0</v>
      </c>
    </row>
    <row r="34" spans="2:9" x14ac:dyDescent="0.25">
      <c r="B34" t="s">
        <v>49</v>
      </c>
      <c r="C34">
        <f>IF(C2=1, D35, IF(C2=2,D37, IF(C2=3, D36, "Error")))</f>
        <v>0</v>
      </c>
    </row>
    <row r="35" spans="2:9" x14ac:dyDescent="0.25">
      <c r="C35" t="s">
        <v>51</v>
      </c>
      <c r="D35">
        <f>IF(AND(Sheet1!D9&gt;(E8-0.001), Sheet1!D9&lt;(E9+0.001)), 1, 0)</f>
        <v>0</v>
      </c>
    </row>
    <row r="36" spans="2:9" x14ac:dyDescent="0.25">
      <c r="C36" t="s">
        <v>11</v>
      </c>
      <c r="D36">
        <f>IF(AND(Sheet1!D9&gt;(D8-0.001), Sheet1!D9&lt;(D9+0.001)), 1, 0)</f>
        <v>0</v>
      </c>
    </row>
    <row r="37" spans="2:9" x14ac:dyDescent="0.25">
      <c r="C37" t="s">
        <v>10</v>
      </c>
      <c r="D37">
        <f>IF(AND(Sheet1!D9&gt;(C8-0.001), Sheet1!D9&lt;(C9+0.001)), 1, 0)</f>
        <v>0</v>
      </c>
    </row>
    <row r="38" spans="2:9" x14ac:dyDescent="0.25">
      <c r="B38" t="s">
        <v>50</v>
      </c>
      <c r="C38">
        <f>IF(C2=1, D39, (IF(C2=2, D41, IF(C2=3, D40, "Error"))))</f>
        <v>0</v>
      </c>
    </row>
    <row r="39" spans="2:9" x14ac:dyDescent="0.25">
      <c r="C39" t="s">
        <v>51</v>
      </c>
      <c r="D39">
        <f>IF(Sheet1!D9&gt;(E9+0.000001), 1, 0)</f>
        <v>0</v>
      </c>
    </row>
    <row r="40" spans="2:9" x14ac:dyDescent="0.25">
      <c r="C40" t="s">
        <v>11</v>
      </c>
      <c r="D40">
        <f>IF(Sheet1!D9&gt;(D9+0.00000001), 1, 0)</f>
        <v>0</v>
      </c>
    </row>
    <row r="41" spans="2:9" x14ac:dyDescent="0.25">
      <c r="C41" t="s">
        <v>10</v>
      </c>
      <c r="D41">
        <f>IF(Sheet1!D9&gt;(C9+0.00000001), 1, 0)</f>
        <v>0</v>
      </c>
    </row>
  </sheetData>
  <mergeCells count="1">
    <mergeCell ref="B1:K1"/>
  </mergeCells>
  <conditionalFormatting sqref="A14:B30 A31 B34">
    <cfRule type="expression" priority="1">
      <formula>"if(Sheet2!$C$30=1)"</formula>
    </cfRule>
    <cfRule type="expression" dxfId="0" priority="2">
      <formula>"if(Sheet2!$C$30=1)"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0376ba-cd8e-49ef-92e7-8ffa1750f18b">
      <Terms xmlns="http://schemas.microsoft.com/office/infopath/2007/PartnerControls"/>
    </lcf76f155ced4ddcb4097134ff3c332f>
    <TaxCatchAll xmlns="4a475477-59d5-4b21-be67-0d9d1545acb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FF2815F730948AE311A0107934A7E" ma:contentTypeVersion="58" ma:contentTypeDescription="Create a new document." ma:contentTypeScope="" ma:versionID="80462d716660be5f1eaa1a3b96a65914">
  <xsd:schema xmlns:xsd="http://www.w3.org/2001/XMLSchema" xmlns:xs="http://www.w3.org/2001/XMLSchema" xmlns:p="http://schemas.microsoft.com/office/2006/metadata/properties" xmlns:ns2="4a59f881-9ee3-4d6f-992f-ee8eb420710b" xmlns:ns3="c49208cc-1014-44da-ac56-5dc10240976c" targetNamespace="http://schemas.microsoft.com/office/2006/metadata/properties" ma:root="true" ma:fieldsID="e2ad1a78437e7fbc02170e8e757a39a8" ns2:_="" ns3:_="">
    <xsd:import namespace="4a59f881-9ee3-4d6f-992f-ee8eb420710b"/>
    <xsd:import namespace="c49208cc-1014-44da-ac56-5dc1024097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9f881-9ee3-4d6f-992f-ee8eb42071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208cc-1014-44da-ac56-5dc10240976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5DAE69266E054BA2CAFB935338ED92" ma:contentTypeVersion="11" ma:contentTypeDescription="Create a new document." ma:contentTypeScope="" ma:versionID="0dcf96008b112583ef684194e4e92aaf">
  <xsd:schema xmlns:xsd="http://www.w3.org/2001/XMLSchema" xmlns:xs="http://www.w3.org/2001/XMLSchema" xmlns:p="http://schemas.microsoft.com/office/2006/metadata/properties" xmlns:ns2="850376ba-cd8e-49ef-92e7-8ffa1750f18b" xmlns:ns3="4a475477-59d5-4b21-be67-0d9d1545acb2" targetNamespace="http://schemas.microsoft.com/office/2006/metadata/properties" ma:root="true" ma:fieldsID="dc2df92ffe82da44a73d7bb68eb15385" ns2:_="" ns3:_="">
    <xsd:import namespace="850376ba-cd8e-49ef-92e7-8ffa1750f18b"/>
    <xsd:import namespace="4a475477-59d5-4b21-be67-0d9d1545ac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376ba-cd8e-49ef-92e7-8ffa1750f1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1b39b11-6357-4afe-ac06-b8f4433acf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75477-59d5-4b21-be67-0d9d1545ac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bdf5c30-02a2-4f71-bfca-87bf35657260}" ma:internalName="TaxCatchAll" ma:showField="CatchAllData" ma:web="4a475477-59d5-4b21-be67-0d9d1545ac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484B0C-2D1C-43F5-8C63-DB64AAFC27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D24A7C-F89B-4476-A01C-FE386D1EF517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4a59f881-9ee3-4d6f-992f-ee8eb420710b"/>
    <ds:schemaRef ds:uri="c49208cc-1014-44da-ac56-5dc10240976c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3635B5-2827-4E8D-9CDB-B0F8A368F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59f881-9ee3-4d6f-992f-ee8eb420710b"/>
    <ds:schemaRef ds:uri="c49208cc-1014-44da-ac56-5dc102409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C623999-87A7-4D1D-A6F4-15D4829B88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Qualified_Business_Income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Jim</dc:creator>
  <cp:lastModifiedBy>Vogan, Marin@DCSS</cp:lastModifiedBy>
  <dcterms:created xsi:type="dcterms:W3CDTF">2021-02-01T16:49:00Z</dcterms:created>
  <dcterms:modified xsi:type="dcterms:W3CDTF">2025-03-21T19:41:34Z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0x0101006B5DAE69266E054BA2CAFB935338ED92</vt:lpwstr>
  </property>
  <property fmtid="{D5CDD505-2E9C-101B-9397-08002B2CF9AE}" pid="3" name="_dlc_DocIdItemGuid">
    <vt:lpwstr>fd074df8-3461-49d0-83ab-86ec9030b083</vt:lpwstr>
  </property>
</Properties>
</file>